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letto\Desktop\"/>
    </mc:Choice>
  </mc:AlternateContent>
  <xr:revisionPtr revIDLastSave="0" documentId="13_ncr:1_{E80B9AD7-5056-43A3-B9B4-ABBA2BF4C57E}" xr6:coauthVersionLast="45" xr6:coauthVersionMax="45" xr10:uidLastSave="{00000000-0000-0000-0000-000000000000}"/>
  <bookViews>
    <workbookView xWindow="-110" yWindow="-110" windowWidth="19420" windowHeight="10420" activeTab="2" xr2:uid="{8F6F4A87-7481-46DB-8AB7-E4DC766327BD}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2" l="1"/>
  <c r="E32" i="2"/>
  <c r="E28" i="2"/>
  <c r="G17" i="2"/>
  <c r="E17" i="2"/>
  <c r="G13" i="2"/>
  <c r="G31" i="2" l="1"/>
  <c r="E31" i="2"/>
  <c r="G29" i="2"/>
  <c r="E29" i="2"/>
  <c r="G28" i="2"/>
  <c r="G27" i="2"/>
  <c r="E27" i="2"/>
  <c r="G16" i="2"/>
  <c r="G14" i="2"/>
  <c r="G12" i="2"/>
  <c r="L23" i="3" l="1"/>
  <c r="E23" i="3"/>
  <c r="D20" i="3"/>
  <c r="I17" i="3"/>
  <c r="I18" i="3" s="1"/>
  <c r="I19" i="3" s="1"/>
  <c r="I20" i="3" s="1"/>
  <c r="B17" i="3"/>
  <c r="B18" i="3" s="1"/>
  <c r="B19" i="3" s="1"/>
  <c r="B20" i="3" s="1"/>
  <c r="L11" i="3"/>
  <c r="E11" i="3"/>
  <c r="K8" i="3"/>
  <c r="D8" i="3"/>
  <c r="B6" i="3"/>
  <c r="B7" i="3" s="1"/>
  <c r="B8" i="3" s="1"/>
  <c r="I5" i="3"/>
  <c r="I6" i="3" s="1"/>
  <c r="I7" i="3" s="1"/>
  <c r="I8" i="3" s="1"/>
  <c r="B5" i="3"/>
  <c r="H8" i="2"/>
  <c r="H9" i="2" s="1"/>
  <c r="H10" i="2" s="1"/>
  <c r="F8" i="2"/>
  <c r="F9" i="2" s="1"/>
  <c r="F10" i="2" s="1"/>
  <c r="F7" i="2"/>
  <c r="H22" i="2"/>
  <c r="H23" i="2" s="1"/>
  <c r="H24" i="2" s="1"/>
  <c r="H25" i="2" s="1"/>
  <c r="H21" i="2"/>
  <c r="F21" i="2"/>
  <c r="F22" i="2" s="1"/>
  <c r="F23" i="2" s="1"/>
  <c r="F24" i="2" s="1"/>
  <c r="F25" i="2" s="1"/>
  <c r="E13" i="2"/>
  <c r="H6" i="2"/>
  <c r="H7" i="2" s="1"/>
  <c r="F6" i="2"/>
  <c r="L54" i="1"/>
  <c r="I26" i="1"/>
  <c r="I27" i="1"/>
  <c r="L24" i="1"/>
  <c r="L23" i="1"/>
  <c r="L37" i="1"/>
  <c r="M21" i="1"/>
  <c r="L21" i="1"/>
  <c r="I21" i="1"/>
  <c r="L22" i="1"/>
  <c r="J19" i="1"/>
  <c r="M19" i="1" s="1"/>
  <c r="K5" i="1"/>
  <c r="L53" i="1"/>
  <c r="I46" i="1"/>
  <c r="I47" i="1" s="1"/>
  <c r="I48" i="1" s="1"/>
  <c r="I49" i="1" s="1"/>
  <c r="Q45" i="1"/>
  <c r="Q46" i="1" s="1"/>
  <c r="Q43" i="1"/>
  <c r="Q44" i="1" s="1"/>
  <c r="J35" i="1"/>
  <c r="M35" i="1" s="1"/>
  <c r="J34" i="1"/>
  <c r="M34" i="1" s="1"/>
  <c r="J33" i="1"/>
  <c r="M33" i="1" s="1"/>
  <c r="L39" i="1" s="1"/>
  <c r="J18" i="1"/>
  <c r="M18" i="1" s="1"/>
  <c r="J17" i="1"/>
  <c r="M17" i="1" s="1"/>
  <c r="J10" i="1"/>
  <c r="J9" i="1"/>
  <c r="J8" i="1"/>
  <c r="J7" i="1"/>
  <c r="J6" i="1"/>
  <c r="N5" i="1" s="1"/>
  <c r="L19" i="3" l="1"/>
  <c r="M19" i="3" s="1"/>
  <c r="L17" i="3"/>
  <c r="M17" i="3" s="1"/>
  <c r="E16" i="3"/>
  <c r="F16" i="3" s="1"/>
  <c r="E15" i="3"/>
  <c r="F15" i="3" s="1"/>
  <c r="L6" i="3"/>
  <c r="M6" i="3" s="1"/>
  <c r="L4" i="3"/>
  <c r="M4" i="3" s="1"/>
  <c r="L3" i="3"/>
  <c r="M3" i="3" s="1"/>
  <c r="E18" i="3"/>
  <c r="F18" i="3" s="1"/>
  <c r="E7" i="3"/>
  <c r="F7" i="3" s="1"/>
  <c r="E5" i="3"/>
  <c r="F5" i="3" s="1"/>
  <c r="L18" i="3"/>
  <c r="M18" i="3" s="1"/>
  <c r="L16" i="3"/>
  <c r="M16" i="3" s="1"/>
  <c r="L15" i="3"/>
  <c r="L7" i="3"/>
  <c r="M7" i="3" s="1"/>
  <c r="L5" i="3"/>
  <c r="M5" i="3" s="1"/>
  <c r="E4" i="3"/>
  <c r="F4" i="3" s="1"/>
  <c r="E3" i="3"/>
  <c r="F3" i="3" s="1"/>
  <c r="E19" i="3"/>
  <c r="F19" i="3" s="1"/>
  <c r="E17" i="3"/>
  <c r="F17" i="3" s="1"/>
  <c r="E6" i="3"/>
  <c r="F6" i="3" s="1"/>
  <c r="E24" i="3"/>
  <c r="K19" i="1"/>
  <c r="L19" i="1" s="1"/>
  <c r="K6" i="1"/>
  <c r="L6" i="1" s="1"/>
  <c r="L48" i="1"/>
  <c r="M48" i="1" s="1"/>
  <c r="L55" i="1"/>
  <c r="L44" i="1"/>
  <c r="M44" i="1" s="1"/>
  <c r="L47" i="1"/>
  <c r="M47" i="1" s="1"/>
  <c r="L46" i="1"/>
  <c r="M46" i="1" s="1"/>
  <c r="L45" i="1"/>
  <c r="M45" i="1" s="1"/>
  <c r="K7" i="1"/>
  <c r="K17" i="1"/>
  <c r="L17" i="1" s="1"/>
  <c r="K18" i="1"/>
  <c r="K33" i="1"/>
  <c r="L38" i="1"/>
  <c r="M8" i="3" l="1"/>
  <c r="L9" i="3" s="1"/>
  <c r="L12" i="3"/>
  <c r="F8" i="3"/>
  <c r="E9" i="3" s="1"/>
  <c r="L24" i="3"/>
  <c r="M15" i="3"/>
  <c r="M20" i="3" s="1"/>
  <c r="L21" i="3" s="1"/>
  <c r="F20" i="3"/>
  <c r="E21" i="3" s="1"/>
  <c r="E12" i="3"/>
  <c r="E14" i="2"/>
  <c r="E16" i="2"/>
  <c r="E12" i="2"/>
  <c r="M49" i="1"/>
  <c r="L51" i="1" s="1"/>
  <c r="L33" i="1"/>
  <c r="K34" i="1"/>
  <c r="L7" i="1"/>
  <c r="K8" i="1"/>
  <c r="L18" i="1"/>
  <c r="L34" i="1" l="1"/>
  <c r="K35" i="1"/>
  <c r="N6" i="1"/>
  <c r="L8" i="1"/>
  <c r="K9" i="1"/>
  <c r="L35" i="1" l="1"/>
  <c r="N8" i="1"/>
  <c r="N7" i="1"/>
  <c r="L9" i="1"/>
  <c r="K10" i="1"/>
  <c r="N10" i="1" l="1"/>
  <c r="N9" i="1"/>
  <c r="L10" i="1"/>
</calcChain>
</file>

<file path=xl/sharedStrings.xml><?xml version="1.0" encoding="utf-8"?>
<sst xmlns="http://schemas.openxmlformats.org/spreadsheetml/2006/main" count="122" uniqueCount="70">
  <si>
    <t>year</t>
  </si>
  <si>
    <t>media geometrica</t>
  </si>
  <si>
    <t>media aritmetica</t>
  </si>
  <si>
    <t>e^average</t>
  </si>
  <si>
    <t>MVB</t>
  </si>
  <si>
    <t>MVE (ma)</t>
  </si>
  <si>
    <t>MVE (mg)</t>
  </si>
  <si>
    <t>Return</t>
  </si>
  <si>
    <t>Growth rate</t>
  </si>
  <si>
    <t>Compound GR</t>
  </si>
  <si>
    <t>Cumulative Ret</t>
  </si>
  <si>
    <t>LN Growth rate</t>
  </si>
  <si>
    <t>Geometric average</t>
  </si>
  <si>
    <t>Arithmetic average</t>
  </si>
  <si>
    <t>Tir annuo composto</t>
  </si>
  <si>
    <t>differenza</t>
  </si>
  <si>
    <t>Rendim composto</t>
  </si>
  <si>
    <t>Rendimento</t>
  </si>
  <si>
    <t>Tasso di crescita</t>
  </si>
  <si>
    <t>Tasso di crescita composto compounded</t>
  </si>
  <si>
    <t>Tasso di crescita singolo periodo</t>
  </si>
  <si>
    <t>Rendimento cumulativo</t>
  </si>
  <si>
    <t>Periodo</t>
  </si>
  <si>
    <t>0 a 1</t>
  </si>
  <si>
    <t>0 a 3</t>
  </si>
  <si>
    <t>1 a 4</t>
  </si>
  <si>
    <t>2 a 4</t>
  </si>
  <si>
    <t>2 a 5</t>
  </si>
  <si>
    <t>3 a 5</t>
  </si>
  <si>
    <t>Rendimento periodico</t>
  </si>
  <si>
    <t>Anno</t>
  </si>
  <si>
    <t>Media aritmetica vs media geometrica</t>
  </si>
  <si>
    <t>Tasso crescita singolo</t>
  </si>
  <si>
    <t>Tasso di crescita logartmico</t>
  </si>
  <si>
    <t>Media Geometrica</t>
  </si>
  <si>
    <t>Tasso di crescita composto</t>
  </si>
  <si>
    <t>e^average-1</t>
  </si>
  <si>
    <t>Anni</t>
  </si>
  <si>
    <t>Giorni</t>
  </si>
  <si>
    <t>Flusso</t>
  </si>
  <si>
    <t>Valore</t>
  </si>
  <si>
    <t>Peso</t>
  </si>
  <si>
    <t>Valore futuro</t>
  </si>
  <si>
    <t>TIR annuale</t>
  </si>
  <si>
    <t>Cliente a</t>
  </si>
  <si>
    <t>Cliente c</t>
  </si>
  <si>
    <t>BMV=1000</t>
  </si>
  <si>
    <t>5 year cumulative</t>
  </si>
  <si>
    <t>twr</t>
  </si>
  <si>
    <t>mwr</t>
  </si>
  <si>
    <t>mwr (md)</t>
  </si>
  <si>
    <t>5 year annualized</t>
  </si>
  <si>
    <t>Cliente b</t>
  </si>
  <si>
    <t>Cliente d</t>
  </si>
  <si>
    <t>200 x year</t>
  </si>
  <si>
    <t>5 year cmulative</t>
  </si>
  <si>
    <t>VMI=1000</t>
  </si>
  <si>
    <t>VMI = Valore di mercato iniziale</t>
  </si>
  <si>
    <t>Caso tipico dei fondi pensione</t>
  </si>
  <si>
    <t>Differenza</t>
  </si>
  <si>
    <t>Irr annuo</t>
  </si>
  <si>
    <t>IRR annuo</t>
  </si>
  <si>
    <t>GR</t>
  </si>
  <si>
    <t>irr composto</t>
  </si>
  <si>
    <t>irr annuo</t>
  </si>
  <si>
    <t>G rate</t>
  </si>
  <si>
    <t>TIR A</t>
  </si>
  <si>
    <t>TIR B</t>
  </si>
  <si>
    <t>TIR C</t>
  </si>
  <si>
    <t>peso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</si>
</sst>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000%"/>
    <numFmt numFmtId="165" formatCode="0.000%"/>
    <numFmt numFmtId="166" formatCode="0.000"/>
    <numFmt numFmtId="167" formatCode="0.0000"/>
    <numFmt numFmtId="168" formatCode="0.00000"/>
    <numFmt numFmtId="169" formatCode="0.00000000"/>
    <numFmt numFmtId="170" formatCode="0.00000%"/>
    <numFmt numFmtId="171" formatCode="0.0%"/>
    <numFmt numFmtId="172" formatCode="0.000000%"/>
    <numFmt numFmtId="173" formatCode="0.000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right"/>
    </xf>
    <xf numFmtId="165" fontId="0" fillId="0" borderId="0" xfId="1" applyNumberFormat="1" applyFont="1"/>
    <xf numFmtId="9" fontId="0" fillId="0" borderId="0" xfId="1" applyFont="1"/>
    <xf numFmtId="167" fontId="0" fillId="0" borderId="0" xfId="0" applyNumberFormat="1"/>
    <xf numFmtId="2" fontId="0" fillId="0" borderId="0" xfId="0" applyNumberFormat="1"/>
    <xf numFmtId="10" fontId="0" fillId="0" borderId="0" xfId="0" applyNumberFormat="1"/>
    <xf numFmtId="10" fontId="0" fillId="0" borderId="0" xfId="1" applyNumberFormat="1" applyFont="1"/>
    <xf numFmtId="169" fontId="0" fillId="0" borderId="0" xfId="0" applyNumberFormat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10" fontId="0" fillId="3" borderId="1" xfId="1" applyNumberFormat="1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164" fontId="0" fillId="3" borderId="1" xfId="1" applyNumberFormat="1" applyFont="1" applyFill="1" applyBorder="1" applyAlignment="1">
      <alignment horizontal="center"/>
    </xf>
    <xf numFmtId="10" fontId="0" fillId="3" borderId="1" xfId="1" applyNumberFormat="1" applyFont="1" applyFill="1" applyBorder="1" applyAlignment="1">
      <alignment horizontal="center"/>
    </xf>
    <xf numFmtId="165" fontId="0" fillId="3" borderId="1" xfId="1" applyNumberFormat="1" applyFon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165" fontId="2" fillId="4" borderId="0" xfId="1" applyNumberFormat="1" applyFont="1" applyFill="1" applyBorder="1" applyAlignment="1">
      <alignment horizontal="center"/>
    </xf>
    <xf numFmtId="0" fontId="0" fillId="4" borderId="0" xfId="0" applyFill="1" applyBorder="1"/>
    <xf numFmtId="170" fontId="0" fillId="0" borderId="0" xfId="1" applyNumberFormat="1" applyFont="1"/>
    <xf numFmtId="173" fontId="0" fillId="0" borderId="0" xfId="1" applyNumberFormat="1" applyFont="1"/>
    <xf numFmtId="9" fontId="0" fillId="3" borderId="1" xfId="1" applyFont="1" applyFill="1" applyBorder="1"/>
    <xf numFmtId="171" fontId="0" fillId="3" borderId="1" xfId="1" applyNumberFormat="1" applyFont="1" applyFill="1" applyBorder="1"/>
    <xf numFmtId="167" fontId="0" fillId="3" borderId="1" xfId="0" applyNumberFormat="1" applyFill="1" applyBorder="1"/>
    <xf numFmtId="10" fontId="0" fillId="3" borderId="1" xfId="1" applyNumberFormat="1" applyFont="1" applyFill="1" applyBorder="1"/>
    <xf numFmtId="0" fontId="2" fillId="2" borderId="1" xfId="0" applyFont="1" applyFill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9" fontId="0" fillId="3" borderId="1" xfId="1" applyFont="1" applyFill="1" applyBorder="1" applyAlignment="1">
      <alignment horizontal="center"/>
    </xf>
    <xf numFmtId="168" fontId="0" fillId="3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1" fontId="0" fillId="3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68" fontId="0" fillId="3" borderId="1" xfId="0" applyNumberFormat="1" applyFill="1" applyBorder="1" applyAlignment="1">
      <alignment horizontal="center" vertical="center"/>
    </xf>
    <xf numFmtId="172" fontId="0" fillId="3" borderId="1" xfId="0" applyNumberFormat="1" applyFill="1" applyBorder="1" applyAlignment="1">
      <alignment horizontal="center" vertical="center"/>
    </xf>
    <xf numFmtId="167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5" fontId="0" fillId="3" borderId="1" xfId="1" applyNumberFormat="1" applyFont="1" applyFill="1" applyBorder="1" applyAlignment="1">
      <alignment horizontal="center" vertical="center"/>
    </xf>
    <xf numFmtId="2" fontId="0" fillId="3" borderId="1" xfId="0" applyNumberFormat="1" applyFill="1" applyBorder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2" fontId="0" fillId="3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 vertical="center"/>
    </xf>
    <xf numFmtId="10" fontId="0" fillId="3" borderId="1" xfId="1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0" fontId="0" fillId="3" borderId="2" xfId="1" applyNumberFormat="1" applyFont="1" applyFill="1" applyBorder="1" applyAlignment="1">
      <alignment horizontal="center" vertical="center"/>
    </xf>
    <xf numFmtId="2" fontId="0" fillId="3" borderId="1" xfId="1" applyNumberFormat="1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B/uni/triennale/analisi%20finanziaria/esercizi/cap%205%20calcolo%20rendimenti%20cumulati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/>
      <sheetData sheetId="1">
        <row r="7">
          <cell r="C7">
            <v>992.01024000000007</v>
          </cell>
          <cell r="E7">
            <v>992.01023999999995</v>
          </cell>
        </row>
        <row r="22">
          <cell r="C22">
            <v>1079.3364480000002</v>
          </cell>
        </row>
      </sheetData>
      <sheetData sheetId="2">
        <row r="14">
          <cell r="H14" t="str">
            <v>Year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1E06E-B62A-4633-B048-819E868B2EBC}">
  <dimension ref="H3:Q55"/>
  <sheetViews>
    <sheetView topLeftCell="B35" workbookViewId="0">
      <selection activeCell="L53" sqref="L53"/>
    </sheetView>
  </sheetViews>
  <sheetFormatPr defaultRowHeight="14.5" x14ac:dyDescent="0.35"/>
  <cols>
    <col min="2" max="2" width="10.81640625" customWidth="1"/>
    <col min="9" max="9" width="11.26953125" customWidth="1"/>
    <col min="10" max="10" width="15.54296875" customWidth="1"/>
    <col min="11" max="11" width="17.90625" customWidth="1"/>
    <col min="12" max="12" width="13.7265625" customWidth="1"/>
    <col min="13" max="13" width="17.6328125" customWidth="1"/>
    <col min="14" max="14" width="11.54296875" customWidth="1"/>
  </cols>
  <sheetData>
    <row r="3" spans="8:14" x14ac:dyDescent="0.35">
      <c r="H3" s="12" t="s">
        <v>30</v>
      </c>
      <c r="I3" s="12" t="s">
        <v>17</v>
      </c>
      <c r="J3" s="12" t="s">
        <v>20</v>
      </c>
      <c r="K3" s="12" t="s">
        <v>19</v>
      </c>
      <c r="L3" s="12" t="s">
        <v>21</v>
      </c>
      <c r="M3" s="13" t="s">
        <v>22</v>
      </c>
      <c r="N3" s="14" t="s">
        <v>29</v>
      </c>
    </row>
    <row r="4" spans="8:14" x14ac:dyDescent="0.35">
      <c r="H4" s="12"/>
      <c r="I4" s="12"/>
      <c r="J4" s="12"/>
      <c r="K4" s="12"/>
      <c r="L4" s="12"/>
      <c r="M4" s="13"/>
      <c r="N4" s="14"/>
    </row>
    <row r="5" spans="8:14" x14ac:dyDescent="0.35">
      <c r="H5" s="16">
        <v>0</v>
      </c>
      <c r="I5" s="18">
        <v>0</v>
      </c>
      <c r="J5" s="19">
        <v>1</v>
      </c>
      <c r="K5" s="19">
        <f>J5</f>
        <v>1</v>
      </c>
      <c r="L5" s="10"/>
      <c r="M5" s="20" t="s">
        <v>23</v>
      </c>
      <c r="N5" s="21">
        <f>(J6/J5)-1</f>
        <v>7.0000000000000062E-2</v>
      </c>
    </row>
    <row r="6" spans="8:14" x14ac:dyDescent="0.35">
      <c r="H6" s="17">
        <v>1</v>
      </c>
      <c r="I6" s="22">
        <v>7.0000000000000007E-2</v>
      </c>
      <c r="J6" s="20">
        <f>1+I6</f>
        <v>1.07</v>
      </c>
      <c r="K6" s="20">
        <f>J6</f>
        <v>1.07</v>
      </c>
      <c r="L6" s="23">
        <f>K6-1</f>
        <v>7.0000000000000062E-2</v>
      </c>
      <c r="M6" s="20" t="s">
        <v>24</v>
      </c>
      <c r="N6" s="21">
        <f>(K8/K5)-1</f>
        <v>0.10103000000000018</v>
      </c>
    </row>
    <row r="7" spans="8:14" x14ac:dyDescent="0.35">
      <c r="H7" s="17">
        <v>2</v>
      </c>
      <c r="I7" s="22">
        <v>0.05</v>
      </c>
      <c r="J7" s="20">
        <f t="shared" ref="J7:J10" si="0">1+I7</f>
        <v>1.05</v>
      </c>
      <c r="K7" s="20">
        <f>J7*K6</f>
        <v>1.1235000000000002</v>
      </c>
      <c r="L7" s="23">
        <f t="shared" ref="L7:L10" si="1">K7-1</f>
        <v>0.12350000000000017</v>
      </c>
      <c r="M7" s="20" t="s">
        <v>25</v>
      </c>
      <c r="N7" s="21">
        <f>(K9/K6)-1</f>
        <v>0.13190000000000013</v>
      </c>
    </row>
    <row r="8" spans="8:14" x14ac:dyDescent="0.35">
      <c r="H8" s="17">
        <v>3</v>
      </c>
      <c r="I8" s="22">
        <v>-0.02</v>
      </c>
      <c r="J8" s="20">
        <f t="shared" si="0"/>
        <v>0.98</v>
      </c>
      <c r="K8" s="24">
        <f>K7*J8</f>
        <v>1.1010300000000002</v>
      </c>
      <c r="L8" s="23">
        <f t="shared" si="1"/>
        <v>0.10103000000000018</v>
      </c>
      <c r="M8" s="20" t="s">
        <v>26</v>
      </c>
      <c r="N8" s="21">
        <f>(K9/K7)-1</f>
        <v>7.8000000000000069E-2</v>
      </c>
    </row>
    <row r="9" spans="8:14" x14ac:dyDescent="0.35">
      <c r="H9" s="17">
        <v>4</v>
      </c>
      <c r="I9" s="22">
        <v>0.1</v>
      </c>
      <c r="J9" s="20">
        <f t="shared" si="0"/>
        <v>1.1000000000000001</v>
      </c>
      <c r="K9" s="24">
        <f t="shared" ref="K9:K10" si="2">K8*J9</f>
        <v>1.2111330000000002</v>
      </c>
      <c r="L9" s="23">
        <f t="shared" si="1"/>
        <v>0.21113300000000024</v>
      </c>
      <c r="M9" s="20" t="s">
        <v>27</v>
      </c>
      <c r="N9" s="21">
        <f>(K10/K7)-1</f>
        <v>3.4880000000000022E-2</v>
      </c>
    </row>
    <row r="10" spans="8:14" x14ac:dyDescent="0.35">
      <c r="H10" s="17">
        <v>5</v>
      </c>
      <c r="I10" s="22">
        <v>-0.04</v>
      </c>
      <c r="J10" s="20">
        <f t="shared" si="0"/>
        <v>0.96</v>
      </c>
      <c r="K10" s="24">
        <f t="shared" si="2"/>
        <v>1.1626876800000001</v>
      </c>
      <c r="L10" s="23">
        <f t="shared" si="1"/>
        <v>0.16268768000000011</v>
      </c>
      <c r="M10" s="20" t="s">
        <v>28</v>
      </c>
      <c r="N10" s="21">
        <f>(K10/K8)-1</f>
        <v>5.5999999999999828E-2</v>
      </c>
    </row>
    <row r="11" spans="8:14" x14ac:dyDescent="0.35">
      <c r="J11" s="30"/>
      <c r="K11" s="31"/>
      <c r="L11" s="32"/>
      <c r="M11" s="33"/>
    </row>
    <row r="12" spans="8:14" x14ac:dyDescent="0.35">
      <c r="K12" s="2"/>
      <c r="L12" s="3"/>
    </row>
    <row r="13" spans="8:14" x14ac:dyDescent="0.35">
      <c r="H13" s="27" t="s">
        <v>31</v>
      </c>
      <c r="I13" s="27"/>
      <c r="J13" s="27"/>
      <c r="K13" s="27"/>
      <c r="L13" s="27"/>
      <c r="M13" s="27"/>
    </row>
    <row r="15" spans="8:14" x14ac:dyDescent="0.35">
      <c r="H15" s="12" t="s">
        <v>30</v>
      </c>
      <c r="I15" s="12" t="s">
        <v>17</v>
      </c>
      <c r="J15" s="12" t="s">
        <v>32</v>
      </c>
      <c r="K15" s="12" t="s">
        <v>35</v>
      </c>
      <c r="L15" s="12" t="s">
        <v>21</v>
      </c>
      <c r="M15" s="14" t="s">
        <v>33</v>
      </c>
    </row>
    <row r="16" spans="8:14" x14ac:dyDescent="0.35">
      <c r="H16" s="12"/>
      <c r="I16" s="12"/>
      <c r="J16" s="12"/>
      <c r="K16" s="12"/>
      <c r="L16" s="12"/>
      <c r="M16" s="14"/>
    </row>
    <row r="17" spans="8:13" x14ac:dyDescent="0.35">
      <c r="H17" s="11">
        <v>1</v>
      </c>
      <c r="I17" s="36">
        <v>0.05</v>
      </c>
      <c r="J17" s="11">
        <f>1+I17</f>
        <v>1.05</v>
      </c>
      <c r="K17" s="11">
        <f>J17</f>
        <v>1.05</v>
      </c>
      <c r="L17" s="37">
        <f>K17-1</f>
        <v>5.0000000000000044E-2</v>
      </c>
      <c r="M17" s="38">
        <f>LN(J17)</f>
        <v>4.8790164169432049E-2</v>
      </c>
    </row>
    <row r="18" spans="8:13" x14ac:dyDescent="0.35">
      <c r="H18" s="11">
        <v>2</v>
      </c>
      <c r="I18" s="36">
        <v>0.03</v>
      </c>
      <c r="J18" s="11">
        <f>1+I18</f>
        <v>1.03</v>
      </c>
      <c r="K18" s="11">
        <f>J18*J17</f>
        <v>1.0815000000000001</v>
      </c>
      <c r="L18" s="39">
        <f>K18-1</f>
        <v>8.1500000000000128E-2</v>
      </c>
      <c r="M18" s="38">
        <f>LN(J18)</f>
        <v>2.9558802241544429E-2</v>
      </c>
    </row>
    <row r="19" spans="8:13" x14ac:dyDescent="0.35">
      <c r="H19" s="11">
        <v>3</v>
      </c>
      <c r="I19" s="36">
        <v>0.08</v>
      </c>
      <c r="J19" s="11">
        <f>1+I19</f>
        <v>1.08</v>
      </c>
      <c r="K19" s="11">
        <f>J19*J18</f>
        <v>1.1124000000000001</v>
      </c>
      <c r="L19" s="39">
        <f>K19-1</f>
        <v>0.11240000000000006</v>
      </c>
      <c r="M19" s="38">
        <f>LN(J19)</f>
        <v>7.6961041136128394E-2</v>
      </c>
    </row>
    <row r="20" spans="8:13" x14ac:dyDescent="0.35">
      <c r="L20" s="4"/>
      <c r="M20" s="5"/>
    </row>
    <row r="21" spans="8:13" x14ac:dyDescent="0.35">
      <c r="I21">
        <f>PRODUCT(J17:J19)</f>
        <v>1.1680200000000003</v>
      </c>
      <c r="K21" s="28" t="s">
        <v>1</v>
      </c>
      <c r="L21" s="35">
        <f>(PRODUCT(J17:J19)^(1/COUNT(I17:I19))-1)</f>
        <v>5.3133496601608821E-2</v>
      </c>
      <c r="M21" s="1">
        <f>AVERAGE(M17:M19)</f>
        <v>5.177000251570163E-2</v>
      </c>
    </row>
    <row r="22" spans="8:13" x14ac:dyDescent="0.35">
      <c r="K22" s="28" t="s">
        <v>2</v>
      </c>
      <c r="L22" s="1">
        <f>AVERAGE(I17:I19)</f>
        <v>5.3333333333333337E-2</v>
      </c>
    </row>
    <row r="23" spans="8:13" x14ac:dyDescent="0.35">
      <c r="K23" s="28" t="s">
        <v>3</v>
      </c>
      <c r="L23" s="3">
        <f>EXP(AVERAGE(M17:M19))</f>
        <v>1.0531334966016088</v>
      </c>
    </row>
    <row r="24" spans="8:13" x14ac:dyDescent="0.35">
      <c r="K24" s="28" t="s">
        <v>34</v>
      </c>
      <c r="L24" s="3">
        <f>L23-1</f>
        <v>5.3133496601608821E-2</v>
      </c>
    </row>
    <row r="25" spans="8:13" x14ac:dyDescent="0.35">
      <c r="H25" s="2" t="s">
        <v>4</v>
      </c>
      <c r="I25" s="2">
        <v>100</v>
      </c>
    </row>
    <row r="26" spans="8:13" x14ac:dyDescent="0.35">
      <c r="H26" t="s">
        <v>5</v>
      </c>
      <c r="I26">
        <f>I25*(1+L22)^(COUNT(H17:H19))</f>
        <v>116.86850370370368</v>
      </c>
    </row>
    <row r="27" spans="8:13" x14ac:dyDescent="0.35">
      <c r="H27" t="s">
        <v>6</v>
      </c>
      <c r="I27">
        <f>PRODUCT(J17:J19)*100</f>
        <v>116.80200000000002</v>
      </c>
      <c r="J27" s="6"/>
    </row>
    <row r="28" spans="8:13" x14ac:dyDescent="0.35">
      <c r="J28" s="6"/>
    </row>
    <row r="29" spans="8:13" x14ac:dyDescent="0.35">
      <c r="J29" s="6"/>
    </row>
    <row r="30" spans="8:13" x14ac:dyDescent="0.35">
      <c r="J30" s="6"/>
    </row>
    <row r="32" spans="8:13" x14ac:dyDescent="0.35">
      <c r="H32" s="40" t="s">
        <v>0</v>
      </c>
      <c r="I32" s="40" t="s">
        <v>7</v>
      </c>
      <c r="J32" s="40" t="s">
        <v>8</v>
      </c>
      <c r="K32" s="40" t="s">
        <v>9</v>
      </c>
      <c r="L32" s="40" t="s">
        <v>10</v>
      </c>
      <c r="M32" s="40" t="s">
        <v>11</v>
      </c>
    </row>
    <row r="33" spans="8:17" x14ac:dyDescent="0.35">
      <c r="H33" s="17">
        <v>1</v>
      </c>
      <c r="I33" s="41">
        <v>0.15</v>
      </c>
      <c r="J33" s="20">
        <f>1+I33</f>
        <v>1.1499999999999999</v>
      </c>
      <c r="K33" s="20">
        <f>J33</f>
        <v>1.1499999999999999</v>
      </c>
      <c r="L33" s="42">
        <f>K33-1</f>
        <v>0.14999999999999991</v>
      </c>
      <c r="M33" s="43">
        <f>LN(J33)</f>
        <v>0.13976194237515863</v>
      </c>
    </row>
    <row r="34" spans="8:17" x14ac:dyDescent="0.35">
      <c r="H34" s="17">
        <v>2</v>
      </c>
      <c r="I34" s="41">
        <v>7.0000000000000007E-2</v>
      </c>
      <c r="J34" s="20">
        <f t="shared" ref="J34:J35" si="3">1+I34</f>
        <v>1.07</v>
      </c>
      <c r="K34" s="20">
        <f>K33*J34</f>
        <v>1.2304999999999999</v>
      </c>
      <c r="L34" s="42">
        <f t="shared" ref="L34:L35" si="4">K34-1</f>
        <v>0.23049999999999993</v>
      </c>
      <c r="M34" s="43">
        <f t="shared" ref="M34:M35" si="5">LN(J34)</f>
        <v>6.7658648473814864E-2</v>
      </c>
    </row>
    <row r="35" spans="8:17" x14ac:dyDescent="0.35">
      <c r="H35" s="17">
        <v>3</v>
      </c>
      <c r="I35" s="41">
        <v>-0.05</v>
      </c>
      <c r="J35" s="20">
        <f t="shared" si="3"/>
        <v>0.95</v>
      </c>
      <c r="K35" s="20">
        <f>K34*J35</f>
        <v>1.1689749999999999</v>
      </c>
      <c r="L35" s="42">
        <f t="shared" si="4"/>
        <v>0.16897499999999988</v>
      </c>
      <c r="M35" s="43">
        <f t="shared" si="5"/>
        <v>-5.1293294387550578E-2</v>
      </c>
    </row>
    <row r="36" spans="8:17" x14ac:dyDescent="0.35">
      <c r="I36" s="7"/>
      <c r="L36" s="4"/>
    </row>
    <row r="37" spans="8:17" x14ac:dyDescent="0.35">
      <c r="K37" s="2" t="s">
        <v>12</v>
      </c>
      <c r="L37" s="34">
        <f>K35^(1/COUNT(H33:H35))-1</f>
        <v>5.3420440463196828E-2</v>
      </c>
    </row>
    <row r="38" spans="8:17" x14ac:dyDescent="0.35">
      <c r="K38" s="2" t="s">
        <v>13</v>
      </c>
      <c r="L38" s="8">
        <f>AVERAGE(J33:J35)-1</f>
        <v>5.6666666666666643E-2</v>
      </c>
    </row>
    <row r="39" spans="8:17" x14ac:dyDescent="0.35">
      <c r="K39" s="26" t="s">
        <v>36</v>
      </c>
      <c r="L39" s="8">
        <f>EXP(AVERAGE(M33:M35))-1</f>
        <v>5.3420440463196828E-2</v>
      </c>
    </row>
    <row r="41" spans="8:17" x14ac:dyDescent="0.35">
      <c r="H41" s="44" t="s">
        <v>14</v>
      </c>
      <c r="I41" s="44"/>
      <c r="J41" s="44"/>
      <c r="K41" s="44"/>
      <c r="L41" s="44"/>
      <c r="M41" s="44"/>
    </row>
    <row r="43" spans="8:17" x14ac:dyDescent="0.35">
      <c r="H43" s="40" t="s">
        <v>37</v>
      </c>
      <c r="I43" s="40" t="s">
        <v>38</v>
      </c>
      <c r="J43" s="40" t="s">
        <v>39</v>
      </c>
      <c r="K43" s="40" t="s">
        <v>40</v>
      </c>
      <c r="L43" s="40" t="s">
        <v>41</v>
      </c>
      <c r="M43" s="40" t="s">
        <v>42</v>
      </c>
      <c r="Q43">
        <f>1.06^(1/12)-1</f>
        <v>4.8675505653430484E-3</v>
      </c>
    </row>
    <row r="44" spans="8:17" x14ac:dyDescent="0.35">
      <c r="H44" s="17">
        <v>0</v>
      </c>
      <c r="I44" s="20">
        <v>0</v>
      </c>
      <c r="J44" s="11">
        <v>400</v>
      </c>
      <c r="K44" s="20"/>
      <c r="L44" s="20">
        <f>I49/I45</f>
        <v>5</v>
      </c>
      <c r="M44" s="45">
        <f>J44*(1+$L$52)^L44</f>
        <v>439.28907126915931</v>
      </c>
      <c r="Q44">
        <f>(1+Q43)^12</f>
        <v>1.0600000000000007</v>
      </c>
    </row>
    <row r="45" spans="8:17" x14ac:dyDescent="0.35">
      <c r="H45" s="17">
        <v>1</v>
      </c>
      <c r="I45" s="20">
        <v>365</v>
      </c>
      <c r="J45" s="11">
        <v>100</v>
      </c>
      <c r="K45" s="20"/>
      <c r="L45" s="20">
        <f>($I$49-I45)/$I$45</f>
        <v>4</v>
      </c>
      <c r="M45" s="45">
        <f>J45*(1+$L$52)^L45</f>
        <v>107.78351091007004</v>
      </c>
      <c r="Q45" s="9">
        <f>1.04^3-1</f>
        <v>0.12486400000000009</v>
      </c>
    </row>
    <row r="46" spans="8:17" x14ac:dyDescent="0.35">
      <c r="H46" s="17">
        <v>2</v>
      </c>
      <c r="I46" s="20">
        <f>365+I45</f>
        <v>730</v>
      </c>
      <c r="J46" s="11">
        <v>100</v>
      </c>
      <c r="K46" s="20"/>
      <c r="L46" s="20">
        <f>($I$49-I46)/$I$45</f>
        <v>3</v>
      </c>
      <c r="M46" s="45">
        <f>J46*(1+$L$52)^L46</f>
        <v>105.78260178918126</v>
      </c>
      <c r="Q46">
        <f>(1+Q45)^(1/3)</f>
        <v>1.04</v>
      </c>
    </row>
    <row r="47" spans="8:17" x14ac:dyDescent="0.35">
      <c r="H47" s="17">
        <v>3</v>
      </c>
      <c r="I47" s="20">
        <f t="shared" ref="I47:I49" si="6">365+I46</f>
        <v>1095</v>
      </c>
      <c r="J47" s="11">
        <v>-50</v>
      </c>
      <c r="K47" s="20"/>
      <c r="L47" s="20">
        <f>($I$49-I47)/$I$45</f>
        <v>2</v>
      </c>
      <c r="M47" s="20">
        <f>J47*(1+$L$52)^L47</f>
        <v>-51.909418921345583</v>
      </c>
    </row>
    <row r="48" spans="8:17" x14ac:dyDescent="0.35">
      <c r="H48" s="17">
        <v>4</v>
      </c>
      <c r="I48" s="20">
        <f t="shared" si="6"/>
        <v>1460</v>
      </c>
      <c r="J48" s="11">
        <v>-50</v>
      </c>
      <c r="K48" s="20"/>
      <c r="L48" s="20">
        <f>($I$49-I48)/$I$45</f>
        <v>1</v>
      </c>
      <c r="M48" s="20">
        <f>J48*(1+$L$52)^L48</f>
        <v>-50.945764751029884</v>
      </c>
    </row>
    <row r="49" spans="8:13" x14ac:dyDescent="0.35">
      <c r="H49" s="17">
        <v>5</v>
      </c>
      <c r="I49" s="20">
        <f t="shared" si="6"/>
        <v>1825</v>
      </c>
      <c r="J49" s="20"/>
      <c r="K49" s="20">
        <v>550</v>
      </c>
      <c r="L49" s="20"/>
      <c r="M49" s="20">
        <f>SUM(M44:M48)</f>
        <v>550.00000029603518</v>
      </c>
    </row>
    <row r="51" spans="8:13" x14ac:dyDescent="0.35">
      <c r="K51" s="46" t="s">
        <v>15</v>
      </c>
      <c r="L51" s="47">
        <f>M49-K49</f>
        <v>2.9603518214571523E-7</v>
      </c>
    </row>
    <row r="52" spans="8:13" x14ac:dyDescent="0.35">
      <c r="K52" s="46" t="s">
        <v>43</v>
      </c>
      <c r="L52" s="48">
        <v>1.8915295020597737E-2</v>
      </c>
    </row>
    <row r="53" spans="8:13" x14ac:dyDescent="0.35">
      <c r="K53" s="46" t="s">
        <v>18</v>
      </c>
      <c r="L53" s="49">
        <f>1+L52</f>
        <v>1.0189152950205977</v>
      </c>
    </row>
    <row r="54" spans="8:13" x14ac:dyDescent="0.35">
      <c r="K54" s="46" t="s">
        <v>37</v>
      </c>
      <c r="L54" s="50">
        <f>COUNT(L44:L48)</f>
        <v>5</v>
      </c>
    </row>
    <row r="55" spans="8:13" x14ac:dyDescent="0.35">
      <c r="K55" s="46" t="s">
        <v>16</v>
      </c>
      <c r="L55" s="51">
        <f>(L53^L54)-1</f>
        <v>9.8222678172898314E-2</v>
      </c>
    </row>
  </sheetData>
  <mergeCells count="15">
    <mergeCell ref="H41:M41"/>
    <mergeCell ref="N3:N4"/>
    <mergeCell ref="H15:H16"/>
    <mergeCell ref="I15:I16"/>
    <mergeCell ref="J15:J16"/>
    <mergeCell ref="K15:K16"/>
    <mergeCell ref="L15:L16"/>
    <mergeCell ref="M15:M16"/>
    <mergeCell ref="H13:M13"/>
    <mergeCell ref="H3:H4"/>
    <mergeCell ref="I3:I4"/>
    <mergeCell ref="J3:J4"/>
    <mergeCell ref="K3:K4"/>
    <mergeCell ref="L3:L4"/>
    <mergeCell ref="M3:M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810B0-78C1-4823-A976-B7C8D47AE2EC}">
  <dimension ref="D4:K32"/>
  <sheetViews>
    <sheetView topLeftCell="A13" workbookViewId="0">
      <selection activeCell="I28" sqref="I28"/>
    </sheetView>
  </sheetViews>
  <sheetFormatPr defaultRowHeight="14.5" x14ac:dyDescent="0.35"/>
  <cols>
    <col min="5" max="5" width="11.08984375" bestFit="1" customWidth="1"/>
    <col min="6" max="6" width="17.36328125" customWidth="1"/>
    <col min="7" max="7" width="15.54296875" bestFit="1" customWidth="1"/>
    <col min="8" max="8" width="18.1796875" customWidth="1"/>
  </cols>
  <sheetData>
    <row r="4" spans="4:10" x14ac:dyDescent="0.35">
      <c r="D4" s="25"/>
      <c r="E4" s="14" t="s">
        <v>44</v>
      </c>
      <c r="F4" s="14"/>
      <c r="G4" s="53" t="s">
        <v>45</v>
      </c>
      <c r="H4" s="53"/>
      <c r="J4" t="s">
        <v>57</v>
      </c>
    </row>
    <row r="5" spans="4:10" x14ac:dyDescent="0.35">
      <c r="D5" s="40" t="s">
        <v>30</v>
      </c>
      <c r="E5" s="40" t="s">
        <v>17</v>
      </c>
      <c r="F5" s="40" t="s">
        <v>56</v>
      </c>
      <c r="G5" s="40" t="s">
        <v>17</v>
      </c>
      <c r="H5" s="40" t="s">
        <v>46</v>
      </c>
    </row>
    <row r="6" spans="4:10" x14ac:dyDescent="0.35">
      <c r="D6" s="15">
        <v>1</v>
      </c>
      <c r="E6" s="36">
        <v>-0.08</v>
      </c>
      <c r="F6" s="52">
        <f>1000*(1+E6)</f>
        <v>920</v>
      </c>
      <c r="G6" s="36">
        <v>0.08</v>
      </c>
      <c r="H6" s="11">
        <f>1000*(1+G6)</f>
        <v>1080</v>
      </c>
    </row>
    <row r="7" spans="4:10" x14ac:dyDescent="0.35">
      <c r="D7" s="15">
        <v>2</v>
      </c>
      <c r="E7" s="36">
        <v>-0.04</v>
      </c>
      <c r="F7" s="52">
        <f>F6*(1+E7)</f>
        <v>883.19999999999993</v>
      </c>
      <c r="G7" s="36">
        <v>0.04</v>
      </c>
      <c r="H7" s="52">
        <f>H6*(1+G7)</f>
        <v>1123.2</v>
      </c>
    </row>
    <row r="8" spans="4:10" x14ac:dyDescent="0.35">
      <c r="D8" s="15">
        <v>3</v>
      </c>
      <c r="E8" s="36"/>
      <c r="F8" s="52">
        <f t="shared" ref="F8:F10" si="0">F7*(1+E8)</f>
        <v>883.19999999999993</v>
      </c>
      <c r="G8" s="36"/>
      <c r="H8" s="52">
        <f t="shared" ref="H8:H10" si="1">H7*(1+G8)</f>
        <v>1123.2</v>
      </c>
    </row>
    <row r="9" spans="4:10" x14ac:dyDescent="0.35">
      <c r="D9" s="15">
        <v>4</v>
      </c>
      <c r="E9" s="36">
        <v>0.08</v>
      </c>
      <c r="F9" s="52">
        <f t="shared" si="0"/>
        <v>953.85599999999999</v>
      </c>
      <c r="G9" s="36">
        <v>-0.04</v>
      </c>
      <c r="H9" s="52">
        <f t="shared" si="1"/>
        <v>1078.2719999999999</v>
      </c>
    </row>
    <row r="10" spans="4:10" x14ac:dyDescent="0.35">
      <c r="D10" s="15">
        <v>5</v>
      </c>
      <c r="E10" s="36">
        <v>0.04</v>
      </c>
      <c r="F10" s="52">
        <f t="shared" si="0"/>
        <v>992.01024000000007</v>
      </c>
      <c r="G10" s="36">
        <v>-0.08</v>
      </c>
      <c r="H10" s="52">
        <f t="shared" si="1"/>
        <v>992.01023999999995</v>
      </c>
    </row>
    <row r="11" spans="4:10" x14ac:dyDescent="0.35">
      <c r="D11" t="s">
        <v>47</v>
      </c>
    </row>
    <row r="12" spans="4:10" x14ac:dyDescent="0.35">
      <c r="D12" t="s">
        <v>48</v>
      </c>
      <c r="E12" s="8">
        <f>((F6/1000)*(F7/F6)*(F9/F8)*(F10/F9))-1</f>
        <v>-7.9897599999999569E-3</v>
      </c>
      <c r="G12" s="8">
        <f>((1+G6)*(1+G7)*(1+G9)*(1+G10))-1</f>
        <v>-7.9897599999998459E-3</v>
      </c>
      <c r="H12" s="8"/>
    </row>
    <row r="13" spans="4:10" x14ac:dyDescent="0.35">
      <c r="D13" t="s">
        <v>49</v>
      </c>
      <c r="E13" s="7" t="str">
        <f>[1]Foglio3!H14</f>
        <v>Year</v>
      </c>
      <c r="G13" s="8">
        <f>(H6/1000)*(H7/H6)*(H9/H8)*(H10/H9)-1</f>
        <v>-7.9897599999998459E-3</v>
      </c>
    </row>
    <row r="14" spans="4:10" x14ac:dyDescent="0.35">
      <c r="D14" t="s">
        <v>50</v>
      </c>
      <c r="E14" s="8">
        <f>(F10-1000)/1000</f>
        <v>-7.9897599999999326E-3</v>
      </c>
      <c r="G14" s="8">
        <f>(H10-1000)/1000</f>
        <v>-7.9897600000000471E-3</v>
      </c>
    </row>
    <row r="15" spans="4:10" x14ac:dyDescent="0.35">
      <c r="D15" t="s">
        <v>51</v>
      </c>
    </row>
    <row r="16" spans="4:10" x14ac:dyDescent="0.35">
      <c r="D16" t="s">
        <v>48</v>
      </c>
      <c r="E16" s="8">
        <f>(1+((F10/1000)-1))^(1/5)-1</f>
        <v>-1.6030835206966021E-3</v>
      </c>
      <c r="G16" s="8">
        <f>(1+(H10/1000)-1)^(1/5)-1</f>
        <v>-1.6030835206966021E-3</v>
      </c>
    </row>
    <row r="17" spans="4:11" x14ac:dyDescent="0.35">
      <c r="D17" t="s">
        <v>49</v>
      </c>
      <c r="E17" s="8">
        <f>Foglio3!E10</f>
        <v>-1.6029511686044314E-3</v>
      </c>
      <c r="G17" s="7">
        <f>Foglio3!E22</f>
        <v>-1.6030753998988443E-3</v>
      </c>
    </row>
    <row r="18" spans="4:11" x14ac:dyDescent="0.35">
      <c r="E18" s="7"/>
      <c r="G18" s="7"/>
    </row>
    <row r="19" spans="4:11" x14ac:dyDescent="0.35">
      <c r="D19" s="25"/>
      <c r="E19" s="14" t="s">
        <v>52</v>
      </c>
      <c r="F19" s="14"/>
      <c r="G19" s="53" t="s">
        <v>53</v>
      </c>
      <c r="H19" s="53"/>
      <c r="J19" s="54" t="s">
        <v>58</v>
      </c>
      <c r="K19" s="54"/>
    </row>
    <row r="20" spans="4:11" x14ac:dyDescent="0.35">
      <c r="D20" s="40" t="s">
        <v>30</v>
      </c>
      <c r="E20" s="40" t="s">
        <v>7</v>
      </c>
      <c r="F20" s="40" t="s">
        <v>54</v>
      </c>
      <c r="G20" s="40" t="s">
        <v>7</v>
      </c>
      <c r="H20" s="40" t="s">
        <v>54</v>
      </c>
      <c r="J20" s="54"/>
      <c r="K20" s="54"/>
    </row>
    <row r="21" spans="4:11" x14ac:dyDescent="0.35">
      <c r="D21" s="17">
        <v>1</v>
      </c>
      <c r="E21" s="42">
        <v>-0.08</v>
      </c>
      <c r="F21" s="55">
        <f>200*(1+E21)</f>
        <v>184</v>
      </c>
      <c r="G21" s="42">
        <v>0.08</v>
      </c>
      <c r="H21" s="55">
        <f>200*(1+G21)</f>
        <v>216</v>
      </c>
      <c r="J21" s="54"/>
      <c r="K21" s="54"/>
    </row>
    <row r="22" spans="4:11" x14ac:dyDescent="0.35">
      <c r="D22" s="17">
        <v>2</v>
      </c>
      <c r="E22" s="42">
        <v>-0.04</v>
      </c>
      <c r="F22" s="20">
        <f>(F21+200)*(1+E22)</f>
        <v>368.64</v>
      </c>
      <c r="G22" s="42">
        <v>0.04</v>
      </c>
      <c r="H22" s="55">
        <f>(H21+200)*(1+G22)</f>
        <v>432.64</v>
      </c>
      <c r="J22" s="54"/>
      <c r="K22" s="54"/>
    </row>
    <row r="23" spans="4:11" x14ac:dyDescent="0.35">
      <c r="D23" s="17">
        <v>3</v>
      </c>
      <c r="E23" s="42"/>
      <c r="F23" s="20">
        <f t="shared" ref="F23:F25" si="2">(F22+200)*(1+E23)</f>
        <v>568.64</v>
      </c>
      <c r="G23" s="42"/>
      <c r="H23" s="55">
        <f>(H22+200)*(1+G23)</f>
        <v>632.64</v>
      </c>
      <c r="J23" s="54"/>
      <c r="K23" s="54"/>
    </row>
    <row r="24" spans="4:11" x14ac:dyDescent="0.35">
      <c r="D24" s="17">
        <v>4</v>
      </c>
      <c r="E24" s="42">
        <v>0.04</v>
      </c>
      <c r="F24" s="55">
        <f t="shared" si="2"/>
        <v>799.38560000000007</v>
      </c>
      <c r="G24" s="42">
        <v>-0.04</v>
      </c>
      <c r="H24" s="55">
        <f>(H23+200)*(1+G24)</f>
        <v>799.33439999999996</v>
      </c>
      <c r="J24" s="54"/>
      <c r="K24" s="54"/>
    </row>
    <row r="25" spans="4:11" x14ac:dyDescent="0.35">
      <c r="D25" s="17">
        <v>5</v>
      </c>
      <c r="E25" s="42">
        <v>0.08</v>
      </c>
      <c r="F25" s="55">
        <f t="shared" si="2"/>
        <v>1079.3364480000002</v>
      </c>
      <c r="G25" s="42">
        <v>-0.08</v>
      </c>
      <c r="H25" s="55">
        <f>(H24+200)*(1+G25)</f>
        <v>919.38764800000001</v>
      </c>
      <c r="J25" s="54"/>
      <c r="K25" s="54"/>
    </row>
    <row r="26" spans="4:11" x14ac:dyDescent="0.35">
      <c r="D26" t="s">
        <v>55</v>
      </c>
      <c r="J26" s="54"/>
      <c r="K26" s="54"/>
    </row>
    <row r="27" spans="4:11" x14ac:dyDescent="0.35">
      <c r="D27" t="s">
        <v>48</v>
      </c>
      <c r="E27" s="8">
        <f>(1+E21)*(1+E22)*(1+E24)*(1+E25)-1</f>
        <v>-7.9897599999999569E-3</v>
      </c>
      <c r="G27" s="8">
        <f>((1+G21)*(1+G22)*(1+G24)*(1+G25))-1</f>
        <v>-7.9897599999998459E-3</v>
      </c>
    </row>
    <row r="28" spans="4:11" x14ac:dyDescent="0.35">
      <c r="D28" t="s">
        <v>49</v>
      </c>
      <c r="E28" s="7">
        <f>Foglio3!L12</f>
        <v>0.13448890439926298</v>
      </c>
      <c r="G28" s="8">
        <f>[1]Foglio3!O27</f>
        <v>0</v>
      </c>
    </row>
    <row r="29" spans="4:11" x14ac:dyDescent="0.35">
      <c r="D29" t="s">
        <v>50</v>
      </c>
      <c r="E29" s="8">
        <f>(F25-200*5)/(200*1+200*4/5+200*3/5+200*2/5+200*1/5)</f>
        <v>0.13222741333333374</v>
      </c>
      <c r="G29" s="8">
        <f>(H25-200*5)/(200+200*4/5+200*3/5+200*2/5+200*1/5)</f>
        <v>-0.13435391999999999</v>
      </c>
    </row>
    <row r="30" spans="4:11" x14ac:dyDescent="0.35">
      <c r="D30" t="s">
        <v>51</v>
      </c>
      <c r="G30" t="s">
        <v>51</v>
      </c>
    </row>
    <row r="31" spans="4:11" x14ac:dyDescent="0.35">
      <c r="D31" t="s">
        <v>48</v>
      </c>
      <c r="E31" s="8">
        <f>((1+E21)*(1+E22)*(1+E24)*(1+E25))^(1/5)-1</f>
        <v>-1.6030835206966021E-3</v>
      </c>
      <c r="G31" s="8">
        <f>((1+G21)*(1+G22)*(1+G24)*(1+G25))^(1/5)-1</f>
        <v>-1.6030835206966021E-3</v>
      </c>
    </row>
    <row r="32" spans="4:11" x14ac:dyDescent="0.35">
      <c r="D32" t="s">
        <v>49</v>
      </c>
      <c r="E32" s="7">
        <f>Foglio3!L10</f>
        <v>2.5557583927819399E-2</v>
      </c>
      <c r="G32" s="8">
        <f>Foglio3!L22</f>
        <v>-2.7885346915070976E-2</v>
      </c>
    </row>
  </sheetData>
  <mergeCells count="5">
    <mergeCell ref="E4:F4"/>
    <mergeCell ref="G4:H4"/>
    <mergeCell ref="E19:F19"/>
    <mergeCell ref="G19:H19"/>
    <mergeCell ref="J19:K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A6C56-5E24-4584-AFE5-6BAB5842CE3C}">
  <dimension ref="A1:M28"/>
  <sheetViews>
    <sheetView tabSelected="1" topLeftCell="A8" workbookViewId="0">
      <selection activeCell="L12" sqref="L12"/>
    </sheetView>
  </sheetViews>
  <sheetFormatPr defaultRowHeight="14.5" x14ac:dyDescent="0.35"/>
  <cols>
    <col min="3" max="3" width="6" bestFit="1" customWidth="1"/>
    <col min="4" max="4" width="11.453125" bestFit="1" customWidth="1"/>
    <col min="6" max="6" width="11.90625" bestFit="1" customWidth="1"/>
    <col min="11" max="11" width="11.453125" bestFit="1" customWidth="1"/>
    <col min="13" max="13" width="11.90625" bestFit="1" customWidth="1"/>
  </cols>
  <sheetData>
    <row r="1" spans="1:13" x14ac:dyDescent="0.35">
      <c r="A1" s="53" t="s">
        <v>66</v>
      </c>
      <c r="B1" s="53"/>
      <c r="C1" s="53"/>
      <c r="D1" s="53"/>
      <c r="E1" s="53"/>
      <c r="F1" s="53"/>
      <c r="H1" s="13" t="s">
        <v>67</v>
      </c>
      <c r="I1" s="13"/>
      <c r="J1" s="13"/>
      <c r="K1" s="13"/>
      <c r="L1" s="13"/>
      <c r="M1" s="13"/>
    </row>
    <row r="2" spans="1:13" x14ac:dyDescent="0.35">
      <c r="A2" s="29" t="s">
        <v>37</v>
      </c>
      <c r="B2" s="29" t="s">
        <v>38</v>
      </c>
      <c r="C2" s="29" t="s">
        <v>39</v>
      </c>
      <c r="D2" s="29" t="s">
        <v>40</v>
      </c>
      <c r="E2" s="29" t="s">
        <v>69</v>
      </c>
      <c r="F2" s="29" t="s">
        <v>42</v>
      </c>
      <c r="H2" s="56" t="s">
        <v>37</v>
      </c>
      <c r="I2" s="56" t="s">
        <v>38</v>
      </c>
      <c r="J2" s="56" t="s">
        <v>39</v>
      </c>
      <c r="K2" s="56" t="s">
        <v>40</v>
      </c>
      <c r="L2" s="56" t="s">
        <v>69</v>
      </c>
      <c r="M2" s="56" t="s">
        <v>42</v>
      </c>
    </row>
    <row r="3" spans="1:13" x14ac:dyDescent="0.35">
      <c r="A3" s="57">
        <v>0</v>
      </c>
      <c r="B3" s="50">
        <v>0</v>
      </c>
      <c r="C3" s="50">
        <v>1000</v>
      </c>
      <c r="D3" s="50"/>
      <c r="E3" s="50">
        <f>($B$8-B3)/$B$4</f>
        <v>5</v>
      </c>
      <c r="F3" s="50">
        <f>C3*(1+$E$10)^E3</f>
        <v>992.01089752739892</v>
      </c>
      <c r="G3" s="58"/>
      <c r="H3" s="57">
        <v>0</v>
      </c>
      <c r="I3" s="50">
        <v>0</v>
      </c>
      <c r="J3" s="50">
        <v>200</v>
      </c>
      <c r="K3" s="50"/>
      <c r="L3" s="50">
        <f>($B$8-I3)/$B$4</f>
        <v>5</v>
      </c>
      <c r="M3" s="59">
        <f>J3*(1+$L$10)^L3</f>
        <v>226.8977808798526</v>
      </c>
    </row>
    <row r="4" spans="1:13" x14ac:dyDescent="0.35">
      <c r="A4" s="57">
        <v>1</v>
      </c>
      <c r="B4" s="50">
        <v>365</v>
      </c>
      <c r="C4" s="50">
        <v>0</v>
      </c>
      <c r="D4" s="50"/>
      <c r="E4" s="50">
        <f t="shared" ref="E4:E7" si="0">($B$8-B4)/$B$4</f>
        <v>4</v>
      </c>
      <c r="F4" s="50">
        <f t="shared" ref="F4:F6" si="1">C4*(1+$E$10)^E4</f>
        <v>0</v>
      </c>
      <c r="G4" s="58"/>
      <c r="H4" s="57">
        <v>1</v>
      </c>
      <c r="I4" s="50">
        <v>365</v>
      </c>
      <c r="J4" s="50">
        <v>200</v>
      </c>
      <c r="K4" s="50"/>
      <c r="L4" s="50">
        <f t="shared" ref="L4:L7" si="2">($B$8-I4)/$B$4</f>
        <v>4</v>
      </c>
      <c r="M4" s="59">
        <f t="shared" ref="M4:M6" si="3">J4*(1+$L$10)^L4</f>
        <v>221.24333575775304</v>
      </c>
    </row>
    <row r="5" spans="1:13" x14ac:dyDescent="0.35">
      <c r="A5" s="57">
        <v>2</v>
      </c>
      <c r="B5" s="50">
        <f>365+B4</f>
        <v>730</v>
      </c>
      <c r="C5" s="50">
        <v>0</v>
      </c>
      <c r="D5" s="50"/>
      <c r="E5" s="50">
        <f t="shared" si="0"/>
        <v>3</v>
      </c>
      <c r="F5" s="50">
        <f t="shared" si="1"/>
        <v>0</v>
      </c>
      <c r="G5" s="58"/>
      <c r="H5" s="57">
        <v>2</v>
      </c>
      <c r="I5" s="50">
        <f>365+I4</f>
        <v>730</v>
      </c>
      <c r="J5" s="50">
        <v>200</v>
      </c>
      <c r="K5" s="50"/>
      <c r="L5" s="50">
        <f t="shared" si="2"/>
        <v>3</v>
      </c>
      <c r="M5" s="59">
        <f t="shared" si="3"/>
        <v>215.72980320656922</v>
      </c>
    </row>
    <row r="6" spans="1:13" x14ac:dyDescent="0.35">
      <c r="A6" s="57">
        <v>3</v>
      </c>
      <c r="B6" s="50">
        <f t="shared" ref="B6:B8" si="4">365+B5</f>
        <v>1095</v>
      </c>
      <c r="C6" s="50">
        <v>0</v>
      </c>
      <c r="D6" s="50"/>
      <c r="E6" s="50">
        <f t="shared" si="0"/>
        <v>2</v>
      </c>
      <c r="F6" s="50">
        <f t="shared" si="1"/>
        <v>0</v>
      </c>
      <c r="G6" s="58"/>
      <c r="H6" s="57">
        <v>3</v>
      </c>
      <c r="I6" s="50">
        <f t="shared" ref="I6:I8" si="5">365+I5</f>
        <v>1095</v>
      </c>
      <c r="J6" s="50">
        <v>200</v>
      </c>
      <c r="K6" s="50"/>
      <c r="L6" s="50">
        <f t="shared" si="2"/>
        <v>2</v>
      </c>
      <c r="M6" s="59">
        <f t="shared" si="3"/>
        <v>210.35367159037327</v>
      </c>
    </row>
    <row r="7" spans="1:13" x14ac:dyDescent="0.35">
      <c r="A7" s="57">
        <v>4</v>
      </c>
      <c r="B7" s="50">
        <f t="shared" si="4"/>
        <v>1460</v>
      </c>
      <c r="C7" s="50">
        <v>0</v>
      </c>
      <c r="D7" s="50"/>
      <c r="E7" s="50">
        <f t="shared" si="0"/>
        <v>1</v>
      </c>
      <c r="F7" s="50">
        <f>C7*(1+$E$10)^E7</f>
        <v>0</v>
      </c>
      <c r="G7" s="58"/>
      <c r="H7" s="57">
        <v>4</v>
      </c>
      <c r="I7" s="50">
        <f t="shared" si="5"/>
        <v>1460</v>
      </c>
      <c r="J7" s="50">
        <v>200</v>
      </c>
      <c r="K7" s="50"/>
      <c r="L7" s="50">
        <f t="shared" si="2"/>
        <v>1</v>
      </c>
      <c r="M7" s="59">
        <f>J7*(1+$L$10)^L7</f>
        <v>205.11151678556391</v>
      </c>
    </row>
    <row r="8" spans="1:13" x14ac:dyDescent="0.35">
      <c r="A8" s="57">
        <v>5</v>
      </c>
      <c r="B8" s="50">
        <f t="shared" si="4"/>
        <v>1825</v>
      </c>
      <c r="C8" s="50"/>
      <c r="D8" s="59">
        <f>[1]Foglio2!C7</f>
        <v>992.01024000000007</v>
      </c>
      <c r="E8" s="50"/>
      <c r="F8" s="50">
        <f>SUM(F3:F7)</f>
        <v>992.01089752739892</v>
      </c>
      <c r="G8" s="58"/>
      <c r="H8" s="57">
        <v>5</v>
      </c>
      <c r="I8" s="50">
        <f t="shared" si="5"/>
        <v>1825</v>
      </c>
      <c r="J8" s="50"/>
      <c r="K8" s="59">
        <f>[1]Foglio2!C22</f>
        <v>1079.3364480000002</v>
      </c>
      <c r="L8" s="50"/>
      <c r="M8" s="59">
        <f>SUM(M3:M7)</f>
        <v>1079.336108220112</v>
      </c>
    </row>
    <row r="9" spans="1:13" x14ac:dyDescent="0.35">
      <c r="A9" s="58"/>
      <c r="B9" s="58"/>
      <c r="C9" s="58"/>
      <c r="D9" s="46" t="s">
        <v>15</v>
      </c>
      <c r="E9" s="59">
        <f>F8-D8</f>
        <v>6.5752739885738265E-4</v>
      </c>
      <c r="F9" s="58"/>
      <c r="G9" s="58"/>
      <c r="H9" s="58"/>
      <c r="I9" s="58"/>
      <c r="J9" s="58"/>
      <c r="K9" s="46" t="s">
        <v>59</v>
      </c>
      <c r="L9" s="59">
        <f>M8-K8</f>
        <v>-3.397798882360803E-4</v>
      </c>
      <c r="M9" s="58"/>
    </row>
    <row r="10" spans="1:13" x14ac:dyDescent="0.35">
      <c r="A10" s="58"/>
      <c r="B10" s="58"/>
      <c r="C10" s="58"/>
      <c r="D10" s="46" t="s">
        <v>60</v>
      </c>
      <c r="E10" s="60">
        <v>-1.6029511686044314E-3</v>
      </c>
      <c r="F10" s="58"/>
      <c r="G10" s="58"/>
      <c r="H10" s="58"/>
      <c r="I10" s="58"/>
      <c r="J10" s="58"/>
      <c r="K10" s="46" t="s">
        <v>61</v>
      </c>
      <c r="L10" s="60">
        <v>2.5557583927819399E-2</v>
      </c>
      <c r="M10" s="58"/>
    </row>
    <row r="11" spans="1:13" x14ac:dyDescent="0.35">
      <c r="A11" s="58"/>
      <c r="B11" s="58"/>
      <c r="C11" s="58"/>
      <c r="D11" s="46" t="s">
        <v>8</v>
      </c>
      <c r="E11" s="47">
        <f>1+E10</f>
        <v>0.99839704883139557</v>
      </c>
      <c r="F11" s="58"/>
      <c r="G11" s="58"/>
      <c r="H11" s="58"/>
      <c r="I11" s="58"/>
      <c r="J11" s="58"/>
      <c r="K11" s="46" t="s">
        <v>62</v>
      </c>
      <c r="L11" s="49">
        <f>1+L10</f>
        <v>1.0255575839278195</v>
      </c>
      <c r="M11" s="58"/>
    </row>
    <row r="12" spans="1:13" x14ac:dyDescent="0.35">
      <c r="A12" s="58"/>
      <c r="B12" s="58"/>
      <c r="C12" s="58"/>
      <c r="D12" s="62" t="s">
        <v>63</v>
      </c>
      <c r="E12" s="63">
        <f>(E11^E3)-1</f>
        <v>-7.9891024726010951E-3</v>
      </c>
      <c r="F12" s="58"/>
      <c r="G12" s="58"/>
      <c r="H12" s="58"/>
      <c r="I12" s="58"/>
      <c r="J12" s="58"/>
      <c r="K12" s="46" t="s">
        <v>63</v>
      </c>
      <c r="L12" s="61">
        <f>(L11^L3)-1</f>
        <v>0.13448890439926298</v>
      </c>
      <c r="M12" s="58"/>
    </row>
    <row r="13" spans="1:13" x14ac:dyDescent="0.35">
      <c r="A13" s="13" t="s">
        <v>68</v>
      </c>
      <c r="B13" s="13"/>
      <c r="C13" s="13"/>
      <c r="D13" s="13"/>
      <c r="E13" s="13"/>
      <c r="F13" s="13"/>
      <c r="G13" s="58"/>
      <c r="H13" s="58"/>
      <c r="I13" s="58"/>
      <c r="J13" s="58"/>
      <c r="K13" s="58"/>
      <c r="L13" s="58"/>
      <c r="M13" s="58"/>
    </row>
    <row r="14" spans="1:13" x14ac:dyDescent="0.35">
      <c r="A14" s="56" t="s">
        <v>37</v>
      </c>
      <c r="B14" s="56" t="s">
        <v>38</v>
      </c>
      <c r="C14" s="56" t="s">
        <v>39</v>
      </c>
      <c r="D14" s="56" t="s">
        <v>40</v>
      </c>
      <c r="E14" s="56" t="s">
        <v>69</v>
      </c>
      <c r="F14" s="56" t="s">
        <v>42</v>
      </c>
      <c r="G14" s="58"/>
      <c r="H14" s="56" t="s">
        <v>37</v>
      </c>
      <c r="I14" s="56" t="s">
        <v>38</v>
      </c>
      <c r="J14" s="56" t="s">
        <v>39</v>
      </c>
      <c r="K14" s="56" t="s">
        <v>40</v>
      </c>
      <c r="L14" s="56" t="s">
        <v>69</v>
      </c>
      <c r="M14" s="56" t="s">
        <v>42</v>
      </c>
    </row>
    <row r="15" spans="1:13" x14ac:dyDescent="0.35">
      <c r="A15" s="57">
        <v>0</v>
      </c>
      <c r="B15" s="50">
        <v>0</v>
      </c>
      <c r="C15" s="50">
        <v>1000</v>
      </c>
      <c r="D15" s="50"/>
      <c r="E15" s="50">
        <f>($B$8-B15)/$B$4</f>
        <v>5</v>
      </c>
      <c r="F15" s="64">
        <f>C15*(1+$E$22)^E15</f>
        <v>992.01028034424871</v>
      </c>
      <c r="G15" s="58"/>
      <c r="H15" s="57">
        <v>0</v>
      </c>
      <c r="I15" s="50">
        <v>0</v>
      </c>
      <c r="J15" s="50">
        <v>200</v>
      </c>
      <c r="K15" s="50"/>
      <c r="L15" s="50">
        <f>($B$8-I15)/$B$4</f>
        <v>5</v>
      </c>
      <c r="M15" s="50">
        <f>J15*(1+$L$22)^L15</f>
        <v>173.62707263081992</v>
      </c>
    </row>
    <row r="16" spans="1:13" x14ac:dyDescent="0.35">
      <c r="A16" s="57">
        <v>1</v>
      </c>
      <c r="B16" s="50">
        <v>365</v>
      </c>
      <c r="C16" s="50">
        <v>0</v>
      </c>
      <c r="D16" s="50"/>
      <c r="E16" s="50">
        <f t="shared" ref="E16:E19" si="6">($B$8-B16)/$B$4</f>
        <v>4</v>
      </c>
      <c r="F16" s="64">
        <f t="shared" ref="F16:F19" si="7">C16*(1+$E$22)^E16</f>
        <v>0</v>
      </c>
      <c r="G16" s="58"/>
      <c r="H16" s="57">
        <v>1</v>
      </c>
      <c r="I16" s="50">
        <v>365</v>
      </c>
      <c r="J16" s="50">
        <v>200</v>
      </c>
      <c r="K16" s="50"/>
      <c r="L16" s="50">
        <f t="shared" ref="L16:L19" si="8">($B$8-I16)/$B$4</f>
        <v>4</v>
      </c>
      <c r="M16" s="50">
        <f t="shared" ref="M16:M19" si="9">J16*(1+$L$22)^L16</f>
        <v>178.6076077341578</v>
      </c>
    </row>
    <row r="17" spans="1:13" x14ac:dyDescent="0.35">
      <c r="A17" s="57">
        <v>2</v>
      </c>
      <c r="B17" s="50">
        <f>365+B16</f>
        <v>730</v>
      </c>
      <c r="C17" s="50">
        <v>0</v>
      </c>
      <c r="D17" s="50"/>
      <c r="E17" s="50">
        <f t="shared" si="6"/>
        <v>3</v>
      </c>
      <c r="F17" s="64">
        <f t="shared" si="7"/>
        <v>0</v>
      </c>
      <c r="G17" s="58"/>
      <c r="H17" s="57">
        <v>2</v>
      </c>
      <c r="I17" s="50">
        <f>365+I16</f>
        <v>730</v>
      </c>
      <c r="J17" s="50">
        <v>200</v>
      </c>
      <c r="K17" s="50"/>
      <c r="L17" s="50">
        <f t="shared" si="8"/>
        <v>3</v>
      </c>
      <c r="M17" s="50">
        <f t="shared" si="9"/>
        <v>183.73101070677279</v>
      </c>
    </row>
    <row r="18" spans="1:13" x14ac:dyDescent="0.35">
      <c r="A18" s="57">
        <v>3</v>
      </c>
      <c r="B18" s="50">
        <f t="shared" ref="B18:B20" si="10">365+B17</f>
        <v>1095</v>
      </c>
      <c r="C18" s="50">
        <v>0</v>
      </c>
      <c r="D18" s="50"/>
      <c r="E18" s="50">
        <f t="shared" si="6"/>
        <v>2</v>
      </c>
      <c r="F18" s="64">
        <f t="shared" si="7"/>
        <v>0</v>
      </c>
      <c r="G18" s="58"/>
      <c r="H18" s="57">
        <v>3</v>
      </c>
      <c r="I18" s="50">
        <f t="shared" ref="I18:I20" si="11">365+I17</f>
        <v>1095</v>
      </c>
      <c r="J18" s="50">
        <v>200</v>
      </c>
      <c r="K18" s="50"/>
      <c r="L18" s="50">
        <f t="shared" si="8"/>
        <v>2</v>
      </c>
      <c r="M18" s="50">
        <f t="shared" si="9"/>
        <v>189.00137974848639</v>
      </c>
    </row>
    <row r="19" spans="1:13" x14ac:dyDescent="0.35">
      <c r="A19" s="57">
        <v>4</v>
      </c>
      <c r="B19" s="50">
        <f t="shared" si="10"/>
        <v>1460</v>
      </c>
      <c r="C19" s="50">
        <v>0</v>
      </c>
      <c r="D19" s="50"/>
      <c r="E19" s="50">
        <f t="shared" si="6"/>
        <v>1</v>
      </c>
      <c r="F19" s="64">
        <f t="shared" si="7"/>
        <v>0</v>
      </c>
      <c r="G19" s="58"/>
      <c r="H19" s="57">
        <v>4</v>
      </c>
      <c r="I19" s="50">
        <f t="shared" si="11"/>
        <v>1460</v>
      </c>
      <c r="J19" s="50">
        <v>200</v>
      </c>
      <c r="K19" s="50"/>
      <c r="L19" s="50">
        <f t="shared" si="8"/>
        <v>1</v>
      </c>
      <c r="M19" s="50">
        <f t="shared" si="9"/>
        <v>194.42293061698581</v>
      </c>
    </row>
    <row r="20" spans="1:13" x14ac:dyDescent="0.35">
      <c r="A20" s="57">
        <v>5</v>
      </c>
      <c r="B20" s="50">
        <f t="shared" si="10"/>
        <v>1825</v>
      </c>
      <c r="C20" s="50"/>
      <c r="D20" s="59">
        <f>[1]Foglio2!E7</f>
        <v>992.01023999999995</v>
      </c>
      <c r="E20" s="50"/>
      <c r="F20" s="64">
        <f>SUM(F15:F19)</f>
        <v>992.01028034424871</v>
      </c>
      <c r="G20" s="58"/>
      <c r="H20" s="57">
        <v>5</v>
      </c>
      <c r="I20" s="50">
        <f t="shared" si="11"/>
        <v>1825</v>
      </c>
      <c r="J20" s="50"/>
      <c r="K20" s="50">
        <v>919.39</v>
      </c>
      <c r="L20" s="50"/>
      <c r="M20" s="50">
        <f>SUM(M15:M19)</f>
        <v>919.39000143722285</v>
      </c>
    </row>
    <row r="21" spans="1:13" x14ac:dyDescent="0.35">
      <c r="A21" s="58"/>
      <c r="B21" s="58"/>
      <c r="C21" s="58"/>
      <c r="D21" s="46" t="s">
        <v>15</v>
      </c>
      <c r="E21" s="59">
        <f>F20-D20</f>
        <v>4.0344248759538459E-5</v>
      </c>
      <c r="F21" s="58"/>
      <c r="G21" s="58"/>
      <c r="H21" s="58"/>
      <c r="I21" s="58"/>
      <c r="J21" s="58"/>
      <c r="K21" s="46" t="s">
        <v>15</v>
      </c>
      <c r="L21" s="59">
        <f>M20-K20</f>
        <v>1.4372228633874329E-6</v>
      </c>
      <c r="M21" s="58"/>
    </row>
    <row r="22" spans="1:13" x14ac:dyDescent="0.35">
      <c r="A22" s="58"/>
      <c r="B22" s="58"/>
      <c r="C22" s="58"/>
      <c r="D22" s="46" t="s">
        <v>64</v>
      </c>
      <c r="E22" s="60">
        <v>-1.6030753998988443E-3</v>
      </c>
      <c r="F22" s="58"/>
      <c r="G22" s="58"/>
      <c r="H22" s="58"/>
      <c r="I22" s="58"/>
      <c r="J22" s="58"/>
      <c r="K22" s="46" t="s">
        <v>64</v>
      </c>
      <c r="L22" s="65">
        <v>-2.7885346915070976E-2</v>
      </c>
      <c r="M22" s="58"/>
    </row>
    <row r="23" spans="1:13" x14ac:dyDescent="0.35">
      <c r="A23" s="58"/>
      <c r="B23" s="58"/>
      <c r="C23" s="58"/>
      <c r="D23" s="46" t="s">
        <v>8</v>
      </c>
      <c r="E23" s="47">
        <f>1+E22</f>
        <v>0.99839692460010121</v>
      </c>
      <c r="F23" s="58"/>
      <c r="G23" s="58"/>
      <c r="H23" s="58"/>
      <c r="I23" s="58"/>
      <c r="J23" s="58"/>
      <c r="K23" s="46" t="s">
        <v>65</v>
      </c>
      <c r="L23" s="59">
        <f>1+L22</f>
        <v>0.97211465308492906</v>
      </c>
      <c r="M23" s="58"/>
    </row>
    <row r="24" spans="1:13" x14ac:dyDescent="0.35">
      <c r="A24" s="58"/>
      <c r="B24" s="58"/>
      <c r="C24" s="58"/>
      <c r="D24" s="46" t="s">
        <v>63</v>
      </c>
      <c r="E24" s="61">
        <f>(E23^E15)-1</f>
        <v>-7.9897196557512373E-3</v>
      </c>
      <c r="F24" s="58"/>
      <c r="G24" s="58"/>
      <c r="H24" s="58"/>
      <c r="I24" s="58"/>
      <c r="J24" s="58"/>
      <c r="K24" s="46" t="s">
        <v>63</v>
      </c>
      <c r="L24" s="51">
        <f>(L23^L15)-1</f>
        <v>-0.13186463684590044</v>
      </c>
      <c r="M24" s="58"/>
    </row>
    <row r="25" spans="1:13" x14ac:dyDescent="0.3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1:13" x14ac:dyDescent="0.3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1:13" x14ac:dyDescent="0.3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1:13" x14ac:dyDescent="0.3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</sheetData>
  <mergeCells count="3">
    <mergeCell ref="A1:F1"/>
    <mergeCell ref="H1:M1"/>
    <mergeCell ref="A13:F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Daniletto</dc:creator>
  <cp:lastModifiedBy>Daniletto</cp:lastModifiedBy>
  <dcterms:created xsi:type="dcterms:W3CDTF">2020-06-04T09:35:58Z</dcterms:created>
  <dcterms:modified xsi:type="dcterms:W3CDTF">2020-06-04T11:59:48Z</dcterms:modified>
</cp:coreProperties>
</file>